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8" windowWidth="17412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<sst xmlns="http://schemas.openxmlformats.org/spreadsheetml/2006/main" count="166" uniqueCount="113">
  <si>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</si>
  <si>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</si>
  <si>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</si>
  <si>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</si>
  <si>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</si>
  <si>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</si>
  <si>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</si>
  <si>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</si>
  <si>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</si>
  <si>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</si>
  <si>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</si>
  <si>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</si>
  <si>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</si>
  <si>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</si>
  <si>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</si>
  <si>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</si>
  <si>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</si>
  <si>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</si>
  <si>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</si>
  <si>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</si>
  <si>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</si>
  <si>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</si>
  <si>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</si>
  <si>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</si>
  <si>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</si>
  <si>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</si>
  <si>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</si>
  <si>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</si>
  <si>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</si>
  <si>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</si>
  <si>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</si>
  <si>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</si>
  <si>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</si>
  <si>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</si>
  <si>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</si>
  <si>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</si>
  <si>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</si>
  <si>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</si>
  <si>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</si>
  <si>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</si>
  <si>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</si>
  <si>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</si>
  <si>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</si>
  <si>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</si>
  <si>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</si>
  <si>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</si>
  <si>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</si>
  <si>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</si>
  <si>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</si>
  <si>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</si>
  <si>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</si>
  <si>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</si>
  <si>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</si>
  <si>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</si>
  <si>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</si>
  <si>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</si>
  <si>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</si>
  <si>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</si>
  <si>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</si>
  <si>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</si>
  <si>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</si>
  <si>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</si>
  <si>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</si>
  <si>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</si>
  <si>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</si>
  <si>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</si>
  <si>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</si>
  <si>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</si>
  <si>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</si>
  <si>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</si>
  <si>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</si>
  <si>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</si>
  <si>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</si>
  <si>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</si>
  <si>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</si>
  <si>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</si>
  <si>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</si>
  <si>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</si>
  <si>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</si>
  <si>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</si>
  <si>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</si>
  <si>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</si>
  <si>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</si>
  <si>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</si>
  <si>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</si>
  <si>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</si>
  <si>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</si>
  <si>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</si>
  <si>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</si>
  <si>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</si>
  <si>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</si>
  <si>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</si>
  <si>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</si>
  <si>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</si>
  <si>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</si>
  <si>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</si>
  <si>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</si>
  <si>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</si>
  <si>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</si>
  <si>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</si>
  <si>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</si>
  <si>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</si>
  <si>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</si>
  <si>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</si>
  <si>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</si>
  <si>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</si>
  <si>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</si>
  <si>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</si>
  <si>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</si>
  <si>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</si>
  <si>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</si>
  <si>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</si>
  <si>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06.11.2018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</si>
</sst>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775"/>
          <c:w val="0.853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171058</c:v>
                </c:pt>
                <c:pt idx="1">
                  <c:v>161690.11000000004</c:v>
                </c:pt>
                <c:pt idx="2">
                  <c:v>1713.5000000000002</c:v>
                </c:pt>
                <c:pt idx="3">
                  <c:v>7654.389999999956</c:v>
                </c:pt>
              </c:numCache>
            </c:numRef>
          </c:val>
          <c:shape val="box"/>
        </c:ser>
        <c:shape val="box"/>
        <c:axId val="26875284"/>
        <c:axId val="40550965"/>
      </c:bar3D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75"/>
          <c:w val="0.843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645241.2000000002</c:v>
                </c:pt>
                <c:pt idx="1">
                  <c:v>222584.99999999994</c:v>
                </c:pt>
                <c:pt idx="2">
                  <c:v>534180.7000000001</c:v>
                </c:pt>
                <c:pt idx="3">
                  <c:v>42.7</c:v>
                </c:pt>
                <c:pt idx="4">
                  <c:v>27967.6</c:v>
                </c:pt>
                <c:pt idx="5">
                  <c:v>56712.1</c:v>
                </c:pt>
                <c:pt idx="6">
                  <c:v>9936.199999999997</c:v>
                </c:pt>
                <c:pt idx="7">
                  <c:v>16401.900000000132</c:v>
                </c:pt>
              </c:numCache>
            </c:numRef>
          </c:val>
          <c:shape val="box"/>
        </c:ser>
        <c:shape val="box"/>
        <c:axId val="29414366"/>
        <c:axId val="63402703"/>
      </c:bar3D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47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321102.1000000001</c:v>
                </c:pt>
                <c:pt idx="1">
                  <c:v>195532.9</c:v>
                </c:pt>
                <c:pt idx="2">
                  <c:v>321102.1000000001</c:v>
                </c:pt>
              </c:numCache>
            </c:numRef>
          </c:val>
          <c:shape val="box"/>
        </c:ser>
        <c:shape val="box"/>
        <c:axId val="33753416"/>
        <c:axId val="35345289"/>
      </c:bar3D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19796.800000000007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7331.500000000006</c:v>
                </c:pt>
              </c:numCache>
            </c:numRef>
          </c:val>
          <c:shape val="box"/>
        </c:ser>
        <c:shape val="box"/>
        <c:axId val="49672146"/>
        <c:axId val="44396131"/>
      </c:bar3D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2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26271.699999999997</c:v>
                </c:pt>
                <c:pt idx="1">
                  <c:v>15400.5</c:v>
                </c:pt>
                <c:pt idx="2">
                  <c:v>2.7</c:v>
                </c:pt>
                <c:pt idx="3">
                  <c:v>752.8000000000001</c:v>
                </c:pt>
                <c:pt idx="4">
                  <c:v>580.3000000000001</c:v>
                </c:pt>
                <c:pt idx="5">
                  <c:v>1096</c:v>
                </c:pt>
                <c:pt idx="6">
                  <c:v>8439.399999999998</c:v>
                </c:pt>
              </c:numCache>
            </c:numRef>
          </c:val>
          <c:shape val="box"/>
        </c:ser>
        <c:shape val="box"/>
        <c:axId val="64020860"/>
        <c:axId val="39316829"/>
      </c:bar3D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16829"/>
        <c:crosses val="autoZero"/>
        <c:auto val="1"/>
        <c:lblOffset val="100"/>
        <c:tickLblSkip val="2"/>
        <c:noMultiLvlLbl val="0"/>
      </c:catAx>
      <c:valAx>
        <c:axId val="3931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4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18307142"/>
        <c:axId val="30546551"/>
      </c:bar3D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75"/>
          <c:w val="0.852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35544.3</c:v>
                </c:pt>
              </c:numCache>
            </c:numRef>
          </c:val>
          <c:shape val="box"/>
        </c:ser>
        <c:shape val="box"/>
        <c:axId val="6483504"/>
        <c:axId val="58351537"/>
      </c:bar3D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645241.2000000002</c:v>
                </c:pt>
                <c:pt idx="1">
                  <c:v>321102.1000000001</c:v>
                </c:pt>
                <c:pt idx="2">
                  <c:v>19796.800000000007</c:v>
                </c:pt>
                <c:pt idx="3">
                  <c:v>26271.699999999997</c:v>
                </c:pt>
                <c:pt idx="4">
                  <c:v>7399.200000000002</c:v>
                </c:pt>
                <c:pt idx="5">
                  <c:v>171058</c:v>
                </c:pt>
                <c:pt idx="6">
                  <c:v>35544.3</c:v>
                </c:pt>
              </c:numCache>
            </c:numRef>
          </c:val>
          <c:shape val="box"/>
        </c:ser>
        <c:shape val="box"/>
        <c:axId val="55401786"/>
        <c:axId val="28854027"/>
      </c:bar3D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6"/>
          <c:w val="0.8415"/>
          <c:h val="0.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1126548.8156499995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736201.7100000002</c:v>
                </c:pt>
                <c:pt idx="1">
                  <c:v>71873.8</c:v>
                </c:pt>
                <c:pt idx="2">
                  <c:v>29221.499999999996</c:v>
                </c:pt>
                <c:pt idx="3">
                  <c:v>23165.199999999997</c:v>
                </c:pt>
                <c:pt idx="4">
                  <c:v>46.10000000000001</c:v>
                </c:pt>
                <c:pt idx="5">
                  <c:v>815341.3899999998</c:v>
                </c:pt>
              </c:numCache>
            </c:numRef>
          </c:val>
          <c:shape val="box"/>
        </c:ser>
        <c:shape val="box"/>
        <c:axId val="58359652"/>
        <c:axId val="55474821"/>
      </c:bar3D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D5"/>
    </sheetView>
  </sheetViews>
  <sheetFormatPr defaultColWidth="9.125" defaultRowHeight="12.75"/>
  <cols>
    <col min="1" max="1" width="66.875" style="137" customWidth="1"/>
    <col min="2" max="2" width="19.00390625" style="137" customWidth="1"/>
    <col min="3" max="3" width="18.50390625" style="138" customWidth="1"/>
    <col min="4" max="4" width="19.00390625" style="138" customWidth="1"/>
    <col min="5" max="5" width="17.375" style="138" customWidth="1"/>
    <col min="6" max="7" width="19.50390625" style="138" customWidth="1"/>
    <col min="8" max="8" width="19.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50390625" style="138" bestFit="1" customWidth="1"/>
    <col min="13" max="16384" width="9.125" style="138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+43.7</f>
        <v>645241.2000000002</v>
      </c>
      <c r="E6" s="3">
        <f>D6/D154*100</f>
        <v>38.50233108613501</v>
      </c>
      <c r="F6" s="3">
        <f>D6/B6*100</f>
        <v>85.61766774690372</v>
      </c>
      <c r="G6" s="3">
        <f aca="true" t="shared" si="0" ref="G6:G43">D6/C6*100</f>
        <v>78.01062869263407</v>
      </c>
      <c r="H6" s="37">
        <f>B6-D6</f>
        <v>108389.69999999984</v>
      </c>
      <c r="I6" s="37">
        <f aca="true" t="shared" si="1" ref="I6:I43">C6-D6</f>
        <v>181878.3999999998</v>
      </c>
      <c r="J6" s="153"/>
      <c r="K6" s="154"/>
    </row>
    <row r="7" spans="1:12" s="85" customFormat="1" ht="18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</f>
        <v>222584.99999999994</v>
      </c>
      <c r="E7" s="132">
        <f>D7/D6*100</f>
        <v>34.49640227561412</v>
      </c>
      <c r="F7" s="132">
        <f>D7/B7*100</f>
        <v>91.84762335480163</v>
      </c>
      <c r="G7" s="132">
        <f>D7/C7*100</f>
        <v>84.78860084047697</v>
      </c>
      <c r="H7" s="131">
        <f>B7-D7</f>
        <v>19756.600000000064</v>
      </c>
      <c r="I7" s="131">
        <f t="shared" si="1"/>
        <v>39932.600000000035</v>
      </c>
      <c r="J7" s="148"/>
      <c r="K7" s="154"/>
      <c r="L7" s="127"/>
    </row>
    <row r="8" spans="1:12" s="152" customFormat="1" ht="17.25">
      <c r="A8" s="92" t="s">
        <v>3</v>
      </c>
      <c r="B8" s="114">
        <f>550357.6+27497.3</f>
        <v>577854.9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</f>
        <v>534180.7000000001</v>
      </c>
      <c r="E8" s="96">
        <f>D8/D6*100</f>
        <v>82.78775440873892</v>
      </c>
      <c r="F8" s="96">
        <f>D8/B8*100</f>
        <v>92.44201269211355</v>
      </c>
      <c r="G8" s="96">
        <f t="shared" si="0"/>
        <v>81.36618176234978</v>
      </c>
      <c r="H8" s="94">
        <f>B8-D8</f>
        <v>43674.19999999995</v>
      </c>
      <c r="I8" s="94">
        <f t="shared" si="1"/>
        <v>122333.69999999995</v>
      </c>
      <c r="J8" s="153"/>
      <c r="K8" s="154"/>
      <c r="L8" s="127"/>
    </row>
    <row r="9" spans="1:12" s="152" customFormat="1" ht="17.25">
      <c r="A9" s="92" t="s">
        <v>2</v>
      </c>
      <c r="B9" s="114">
        <v>97.7</v>
      </c>
      <c r="C9" s="115">
        <v>97.7</v>
      </c>
      <c r="D9" s="94">
        <f>3.4+5.4+0.8+4.1+3.6+0.3+0.3+3.4+3.4+3.6+2.1+4+2.9+3+2.4</f>
        <v>42.7</v>
      </c>
      <c r="E9" s="116">
        <f>D9/D6*100</f>
        <v>0.0066176803341138155</v>
      </c>
      <c r="F9" s="96">
        <f>D9/B9*100</f>
        <v>43.70522006141249</v>
      </c>
      <c r="G9" s="96">
        <f t="shared" si="0"/>
        <v>43.70522006141249</v>
      </c>
      <c r="H9" s="94">
        <f aca="true" t="shared" si="2" ref="H9:H43">B9-D9</f>
        <v>55</v>
      </c>
      <c r="I9" s="94">
        <f t="shared" si="1"/>
        <v>55</v>
      </c>
      <c r="J9" s="153"/>
      <c r="K9" s="154"/>
      <c r="L9" s="127"/>
    </row>
    <row r="10" spans="1:12" s="152" customFormat="1" ht="17.25">
      <c r="A10" s="92" t="s">
        <v>1</v>
      </c>
      <c r="B10" s="114">
        <f>32276.4+3940.5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</f>
        <v>27967.6</v>
      </c>
      <c r="E10" s="96">
        <f>D10/D6*100</f>
        <v>4.334441136120878</v>
      </c>
      <c r="F10" s="96">
        <f aca="true" t="shared" si="3" ref="F10:F41">D10/B10*100</f>
        <v>77.22251214212149</v>
      </c>
      <c r="G10" s="96">
        <f t="shared" si="0"/>
        <v>69.14663211922822</v>
      </c>
      <c r="H10" s="94">
        <f t="shared" si="2"/>
        <v>8249.300000000003</v>
      </c>
      <c r="I10" s="94">
        <f t="shared" si="1"/>
        <v>12479.200000000004</v>
      </c>
      <c r="J10" s="153"/>
      <c r="K10" s="154"/>
      <c r="L10" s="127"/>
    </row>
    <row r="11" spans="1:12" s="152" customFormat="1" ht="17.25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</f>
        <v>56712.1</v>
      </c>
      <c r="E11" s="96">
        <f>D11/D6*100</f>
        <v>8.78928685892965</v>
      </c>
      <c r="F11" s="96">
        <f t="shared" si="3"/>
        <v>75.5580040422235</v>
      </c>
      <c r="G11" s="96">
        <f t="shared" si="0"/>
        <v>64.31956031592652</v>
      </c>
      <c r="H11" s="94">
        <f t="shared" si="2"/>
        <v>18345.600000000013</v>
      </c>
      <c r="I11" s="94">
        <f t="shared" si="1"/>
        <v>31460.299999999996</v>
      </c>
      <c r="J11" s="153"/>
      <c r="K11" s="154"/>
      <c r="L11" s="127"/>
    </row>
    <row r="12" spans="1:12" s="152" customFormat="1" ht="17.25">
      <c r="A12" s="92" t="s">
        <v>14</v>
      </c>
      <c r="B12" s="114">
        <f>10485.4+1118.6</f>
        <v>11604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</f>
        <v>9936.199999999997</v>
      </c>
      <c r="E12" s="96">
        <f>D12/D6*100</f>
        <v>1.5399202654759172</v>
      </c>
      <c r="F12" s="96">
        <f t="shared" si="3"/>
        <v>85.62736987245775</v>
      </c>
      <c r="G12" s="96">
        <f t="shared" si="0"/>
        <v>78.00439629455171</v>
      </c>
      <c r="H12" s="94">
        <f>B12-D12</f>
        <v>1667.800000000003</v>
      </c>
      <c r="I12" s="94">
        <f t="shared" si="1"/>
        <v>2801.800000000003</v>
      </c>
      <c r="J12" s="153"/>
      <c r="K12" s="154"/>
      <c r="L12" s="127"/>
    </row>
    <row r="13" spans="1:12" s="152" customFormat="1" ht="18" thickBot="1">
      <c r="A13" s="92" t="s">
        <v>27</v>
      </c>
      <c r="B13" s="115">
        <f>B6-B8-B9-B10-B11-B12</f>
        <v>52799.69999999998</v>
      </c>
      <c r="C13" s="115">
        <f>C6-C8-C9-C10-C11-C12</f>
        <v>29150.299999999945</v>
      </c>
      <c r="D13" s="115">
        <f>D6-D8-D9-D10-D11-D12</f>
        <v>16401.900000000132</v>
      </c>
      <c r="E13" s="96">
        <f>D13/D6*100</f>
        <v>2.541979650400521</v>
      </c>
      <c r="F13" s="96">
        <f t="shared" si="3"/>
        <v>31.06438104761985</v>
      </c>
      <c r="G13" s="96">
        <f t="shared" si="0"/>
        <v>56.26665934827485</v>
      </c>
      <c r="H13" s="94">
        <f t="shared" si="2"/>
        <v>36397.79999999985</v>
      </c>
      <c r="I13" s="94">
        <f t="shared" si="1"/>
        <v>12748.399999999812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8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8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" thickBot="1">
      <c r="A18" s="18" t="s">
        <v>19</v>
      </c>
      <c r="B18" s="35">
        <f>333159.1-2662.4+17838.6+15694.8-1079.1</f>
        <v>362950.99999999994</v>
      </c>
      <c r="C18" s="36">
        <f>424151.5+750.3+185.6-18990.5</f>
        <v>406096.89999999997</v>
      </c>
      <c r="D18" s="37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</f>
        <v>321102.1000000001</v>
      </c>
      <c r="E18" s="3">
        <f>D18/D154*100</f>
        <v>19.16055479199597</v>
      </c>
      <c r="F18" s="3">
        <f>D18/B18*100</f>
        <v>88.4698209951206</v>
      </c>
      <c r="G18" s="3">
        <f t="shared" si="0"/>
        <v>79.07031548381683</v>
      </c>
      <c r="H18" s="37">
        <f>B18-D18</f>
        <v>41848.89999999985</v>
      </c>
      <c r="I18" s="37">
        <f t="shared" si="1"/>
        <v>84994.79999999987</v>
      </c>
      <c r="J18" s="153"/>
      <c r="K18" s="154"/>
    </row>
    <row r="19" spans="1:13" s="85" customFormat="1" ht="18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</f>
        <v>195532.9</v>
      </c>
      <c r="E19" s="132">
        <f>D19/D18*100</f>
        <v>60.89430744925055</v>
      </c>
      <c r="F19" s="132">
        <f t="shared" si="3"/>
        <v>92.22510459066962</v>
      </c>
      <c r="G19" s="132">
        <f t="shared" si="0"/>
        <v>85.86858476372326</v>
      </c>
      <c r="H19" s="131">
        <f t="shared" si="2"/>
        <v>16484.100000000006</v>
      </c>
      <c r="I19" s="131">
        <f t="shared" si="1"/>
        <v>32178.899999999994</v>
      </c>
      <c r="J19" s="148"/>
      <c r="K19" s="154"/>
      <c r="L19" s="152"/>
      <c r="M19" s="152"/>
    </row>
    <row r="20" spans="1:11" s="152" customFormat="1" ht="17.25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7.25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7.25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7.25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7.25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" thickBot="1">
      <c r="A25" s="92" t="s">
        <v>27</v>
      </c>
      <c r="B25" s="115">
        <f>B18</f>
        <v>362950.99999999994</v>
      </c>
      <c r="C25" s="115">
        <f>C18</f>
        <v>406096.89999999997</v>
      </c>
      <c r="D25" s="115">
        <f>D18</f>
        <v>321102.1000000001</v>
      </c>
      <c r="E25" s="96">
        <f>D25/D18*100</f>
        <v>100</v>
      </c>
      <c r="F25" s="96">
        <f t="shared" si="3"/>
        <v>88.4698209951206</v>
      </c>
      <c r="G25" s="96">
        <f t="shared" si="0"/>
        <v>79.07031548381683</v>
      </c>
      <c r="H25" s="94">
        <f t="shared" si="2"/>
        <v>41848.89999999985</v>
      </c>
      <c r="I25" s="94">
        <f t="shared" si="1"/>
        <v>84994.79999999987</v>
      </c>
      <c r="J25" s="153"/>
      <c r="K25" s="154"/>
    </row>
    <row r="26" spans="1:11" ht="54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8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8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" thickBot="1">
      <c r="A33" s="18" t="s">
        <v>17</v>
      </c>
      <c r="B33" s="35">
        <f>20177.6+27.7+2+2155.9</f>
        <v>22363.2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</f>
        <v>19796.800000000007</v>
      </c>
      <c r="E33" s="3">
        <f>D33/D154*100</f>
        <v>1.1812992537457272</v>
      </c>
      <c r="F33" s="3">
        <f>D33/B33*100</f>
        <v>88.52400372039783</v>
      </c>
      <c r="G33" s="3">
        <f t="shared" si="0"/>
        <v>79.60272623092547</v>
      </c>
      <c r="H33" s="37">
        <f t="shared" si="2"/>
        <v>2566.399999999994</v>
      </c>
      <c r="I33" s="37">
        <f t="shared" si="1"/>
        <v>5072.69999999999</v>
      </c>
      <c r="J33" s="153"/>
      <c r="K33" s="154"/>
    </row>
    <row r="34" spans="1:11" s="152" customFormat="1" ht="17.25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</f>
        <v>10562.2</v>
      </c>
      <c r="E34" s="96">
        <f>D34/D33*100</f>
        <v>53.35306716236966</v>
      </c>
      <c r="F34" s="96">
        <f t="shared" si="3"/>
        <v>89.01755539261545</v>
      </c>
      <c r="G34" s="96">
        <f t="shared" si="0"/>
        <v>81.58280938624813</v>
      </c>
      <c r="H34" s="94">
        <f t="shared" si="2"/>
        <v>1303.1000000000004</v>
      </c>
      <c r="I34" s="94">
        <f t="shared" si="1"/>
        <v>2384.3999999999996</v>
      </c>
      <c r="J34" s="153"/>
      <c r="K34" s="154"/>
    </row>
    <row r="35" spans="1:11" s="152" customFormat="1" ht="17.25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0.3010587569708235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3"/>
      <c r="K35" s="154"/>
    </row>
    <row r="36" spans="1:11" s="152" customFormat="1" ht="17.25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</f>
        <v>1036.3</v>
      </c>
      <c r="E36" s="96">
        <f>D36/D33*100</f>
        <v>5.2346843934373215</v>
      </c>
      <c r="F36" s="96">
        <f t="shared" si="3"/>
        <v>70.24810195227764</v>
      </c>
      <c r="G36" s="96">
        <f t="shared" si="0"/>
        <v>58.12114413909142</v>
      </c>
      <c r="H36" s="94">
        <f t="shared" si="2"/>
        <v>438.9000000000003</v>
      </c>
      <c r="I36" s="94">
        <f t="shared" si="1"/>
        <v>746.7</v>
      </c>
      <c r="J36" s="153"/>
      <c r="K36" s="154"/>
    </row>
    <row r="37" spans="1:12" s="85" customFormat="1" ht="17.25">
      <c r="A37" s="105" t="s">
        <v>7</v>
      </c>
      <c r="B37" s="125">
        <f>766.6+2+20.5</f>
        <v>789.1</v>
      </c>
      <c r="C37" s="126">
        <v>1008</v>
      </c>
      <c r="D37" s="98">
        <f>44.8+25.1+1.6+0.5+2.7+1+6.3+8.5+2.5+36.6+1.5+4.5+23.6+4.1+106.1+32.6+9.7+2.5+4.3+1.9+2.2+5.9+0.2+124.8+6.7+179.9+41.5+2.4+6.3+14.7+42.8+20.1</f>
        <v>767.8999999999999</v>
      </c>
      <c r="E37" s="101">
        <f>D37/D33*100</f>
        <v>3.878909722783478</v>
      </c>
      <c r="F37" s="101">
        <f t="shared" si="3"/>
        <v>97.31339500696996</v>
      </c>
      <c r="G37" s="101">
        <f t="shared" si="0"/>
        <v>76.18055555555554</v>
      </c>
      <c r="H37" s="98">
        <f t="shared" si="2"/>
        <v>21.20000000000016</v>
      </c>
      <c r="I37" s="98">
        <f t="shared" si="1"/>
        <v>240.10000000000014</v>
      </c>
      <c r="J37" s="148"/>
      <c r="K37" s="154"/>
      <c r="L37" s="127"/>
    </row>
    <row r="38" spans="1:11" s="152" customFormat="1" ht="17.25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</f>
        <v>39.300000000000004</v>
      </c>
      <c r="E38" s="96">
        <f>D38/D33*100</f>
        <v>0.19851693202941884</v>
      </c>
      <c r="F38" s="96">
        <f t="shared" si="3"/>
        <v>46.56398104265403</v>
      </c>
      <c r="G38" s="96">
        <f t="shared" si="0"/>
        <v>43.91061452513967</v>
      </c>
      <c r="H38" s="94">
        <f t="shared" si="2"/>
        <v>45.1</v>
      </c>
      <c r="I38" s="94">
        <f t="shared" si="1"/>
        <v>50.199999999999996</v>
      </c>
      <c r="J38" s="153"/>
      <c r="K38" s="154"/>
    </row>
    <row r="39" spans="1:11" s="152" customFormat="1" ht="18" thickBot="1">
      <c r="A39" s="92" t="s">
        <v>27</v>
      </c>
      <c r="B39" s="114">
        <f>B33-B34-B36-B37-B35-B38</f>
        <v>8089.5999999999985</v>
      </c>
      <c r="C39" s="114">
        <f>C33-C34-C36-C37-C35-C38</f>
        <v>8961.299999999996</v>
      </c>
      <c r="D39" s="114">
        <f>D33-D34-D36-D37-D35-D38</f>
        <v>7331.500000000006</v>
      </c>
      <c r="E39" s="96">
        <f>D39/D33*100</f>
        <v>37.0337630324093</v>
      </c>
      <c r="F39" s="96">
        <f t="shared" si="3"/>
        <v>90.62870846518997</v>
      </c>
      <c r="G39" s="96">
        <f t="shared" si="0"/>
        <v>81.8129066095322</v>
      </c>
      <c r="H39" s="94">
        <f>B39-D39</f>
        <v>758.0999999999922</v>
      </c>
      <c r="I39" s="94">
        <f t="shared" si="1"/>
        <v>1629.7999999999893</v>
      </c>
      <c r="J39" s="153"/>
      <c r="K39" s="154"/>
    </row>
    <row r="40" spans="1:11" ht="18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8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8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8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</f>
        <v>616.7</v>
      </c>
      <c r="E43" s="3">
        <f>D43/D154*100</f>
        <v>0.03679924279605743</v>
      </c>
      <c r="F43" s="3">
        <f>D43/B43*100</f>
        <v>40.373158756137485</v>
      </c>
      <c r="G43" s="3">
        <f t="shared" si="0"/>
        <v>38.69126043039087</v>
      </c>
      <c r="H43" s="37">
        <f t="shared" si="2"/>
        <v>910.8</v>
      </c>
      <c r="I43" s="37">
        <f t="shared" si="1"/>
        <v>977.2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" thickBot="1">
      <c r="A45" s="18" t="s">
        <v>44</v>
      </c>
      <c r="B45" s="35">
        <f>11184.4+1142.3</f>
        <v>12326.699999999999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237.1+562.8+52.3+349.2+679.9+375.9+891+78.3+327.4+13.5+670.2+386.5+179.9+781.7-0.1+25.5+366.5+16.5+692.2+3.8+389.3+707.6+15.1+379.9+4.5+611.9+360.8+661.9+337.6+11.6+789.6+30.3</f>
        <v>10990.199999999999</v>
      </c>
      <c r="E45" s="3">
        <f>D45/D154*100</f>
        <v>0.6557986673864606</v>
      </c>
      <c r="F45" s="3">
        <f>D45/B45*100</f>
        <v>89.15768210469956</v>
      </c>
      <c r="G45" s="3">
        <f aca="true" t="shared" si="5" ref="G45:G76">D45/C45*100</f>
        <v>80.95136377363494</v>
      </c>
      <c r="H45" s="37">
        <f>B45-D45</f>
        <v>1336.5</v>
      </c>
      <c r="I45" s="37">
        <f aca="true" t="shared" si="6" ref="I45:I77">C45-D45</f>
        <v>2586.1000000000004</v>
      </c>
      <c r="J45" s="153"/>
      <c r="K45" s="154"/>
    </row>
    <row r="46" spans="1:11" s="152" customFormat="1" ht="17.25">
      <c r="A46" s="92" t="s">
        <v>3</v>
      </c>
      <c r="B46" s="114">
        <f>10237.8+1011.7</f>
        <v>11249.5</v>
      </c>
      <c r="C46" s="115">
        <v>12256.4</v>
      </c>
      <c r="D46" s="94">
        <f>237.1+551.8+334.1+652.5+314.7+746.1+319.2+661.7+342.8+781.7+0.2-0.1+366.5+692.2+367.7+697.1+14.1+359.1+599.6+318.9+654.8+315+778.2+5.2</f>
        <v>10110.2</v>
      </c>
      <c r="E46" s="96">
        <f>D46/D45*100</f>
        <v>91.99286637185858</v>
      </c>
      <c r="F46" s="96">
        <f aca="true" t="shared" si="7" ref="F46:F74">D46/B46*100</f>
        <v>89.87243877505668</v>
      </c>
      <c r="G46" s="96">
        <f t="shared" si="5"/>
        <v>82.48914852648413</v>
      </c>
      <c r="H46" s="94">
        <f aca="true" t="shared" si="8" ref="H46:H74">B46-D46</f>
        <v>1139.2999999999993</v>
      </c>
      <c r="I46" s="94">
        <f t="shared" si="6"/>
        <v>2146.199999999999</v>
      </c>
      <c r="J46" s="153"/>
      <c r="K46" s="154"/>
    </row>
    <row r="47" spans="1:11" s="152" customFormat="1" ht="17.25">
      <c r="A47" s="92" t="s">
        <v>2</v>
      </c>
      <c r="B47" s="114">
        <f>0.8+0.7</f>
        <v>1.5</v>
      </c>
      <c r="C47" s="115">
        <v>1.5</v>
      </c>
      <c r="D47" s="94">
        <f>0.7</f>
        <v>0.7</v>
      </c>
      <c r="E47" s="96">
        <f>D47/D45*100</f>
        <v>0.006369310840567051</v>
      </c>
      <c r="F47" s="96">
        <f t="shared" si="7"/>
        <v>46.666666666666664</v>
      </c>
      <c r="G47" s="96">
        <f t="shared" si="5"/>
        <v>46.666666666666664</v>
      </c>
      <c r="H47" s="94">
        <f t="shared" si="8"/>
        <v>0.8</v>
      </c>
      <c r="I47" s="94">
        <f t="shared" si="6"/>
        <v>0.8</v>
      </c>
      <c r="J47" s="153"/>
      <c r="K47" s="154"/>
    </row>
    <row r="48" spans="1:11" s="152" customFormat="1" ht="17.25">
      <c r="A48" s="92" t="s">
        <v>1</v>
      </c>
      <c r="B48" s="114">
        <f>68.2+10.6</f>
        <v>78.8</v>
      </c>
      <c r="C48" s="115">
        <v>98.9</v>
      </c>
      <c r="D48" s="94">
        <f>5.7+6.1+6.5+7.7+8.4+7+0.1+8.9</f>
        <v>50.4</v>
      </c>
      <c r="E48" s="96">
        <f>D48/D45*100</f>
        <v>0.4585903805208276</v>
      </c>
      <c r="F48" s="96">
        <f t="shared" si="7"/>
        <v>63.95939086294417</v>
      </c>
      <c r="G48" s="96">
        <f t="shared" si="5"/>
        <v>50.96056622851365</v>
      </c>
      <c r="H48" s="94">
        <f t="shared" si="8"/>
        <v>28.4</v>
      </c>
      <c r="I48" s="94">
        <f t="shared" si="6"/>
        <v>48.50000000000001</v>
      </c>
      <c r="J48" s="153"/>
      <c r="K48" s="154"/>
    </row>
    <row r="49" spans="1:11" s="152" customFormat="1" ht="17.25">
      <c r="A49" s="92" t="s">
        <v>0</v>
      </c>
      <c r="B49" s="114">
        <f>595+89.7</f>
        <v>684.7</v>
      </c>
      <c r="C49" s="115">
        <v>879.8</v>
      </c>
      <c r="D49" s="94">
        <f>7.3+51.9+12.7-0.1+54.5+131.2+49.5+2.4+7.9+11.2+178.3+0.4+4.1+0.1+0.6+1.4+0.5+0.8+4.5+4.5+1+5+1.4+9.1+16</f>
        <v>556.1999999999999</v>
      </c>
      <c r="E49" s="96">
        <f>D49/D45*100</f>
        <v>5.060872413604848</v>
      </c>
      <c r="F49" s="96">
        <f t="shared" si="7"/>
        <v>81.2326566379436</v>
      </c>
      <c r="G49" s="96">
        <f t="shared" si="5"/>
        <v>63.21891338940668</v>
      </c>
      <c r="H49" s="94">
        <f t="shared" si="8"/>
        <v>128.5000000000001</v>
      </c>
      <c r="I49" s="94">
        <f t="shared" si="6"/>
        <v>323.6</v>
      </c>
      <c r="J49" s="153"/>
      <c r="K49" s="154"/>
    </row>
    <row r="50" spans="1:11" s="152" customFormat="1" ht="18" thickBot="1">
      <c r="A50" s="92" t="s">
        <v>27</v>
      </c>
      <c r="B50" s="115">
        <f>B45-B46-B49-B48-B47</f>
        <v>312.19999999999885</v>
      </c>
      <c r="C50" s="115">
        <f>C45-C46-C49-C48-C47</f>
        <v>339.6999999999997</v>
      </c>
      <c r="D50" s="115">
        <f>D45-D46-D49-D48-D47</f>
        <v>272.6999999999983</v>
      </c>
      <c r="E50" s="96">
        <f>D50/D45*100</f>
        <v>2.481301523175177</v>
      </c>
      <c r="F50" s="96">
        <f t="shared" si="7"/>
        <v>87.34785393978196</v>
      </c>
      <c r="G50" s="96">
        <f t="shared" si="5"/>
        <v>80.2767147483069</v>
      </c>
      <c r="H50" s="94">
        <f t="shared" si="8"/>
        <v>39.50000000000057</v>
      </c>
      <c r="I50" s="94">
        <f t="shared" si="6"/>
        <v>67.00000000000142</v>
      </c>
      <c r="J50" s="153"/>
      <c r="K50" s="154"/>
    </row>
    <row r="51" spans="1:11" ht="18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</f>
        <v>26271.699999999997</v>
      </c>
      <c r="E51" s="3">
        <f>D51/D154*100</f>
        <v>1.567664451054292</v>
      </c>
      <c r="F51" s="3">
        <f>D51/B51*100</f>
        <v>76.52337787927156</v>
      </c>
      <c r="G51" s="3">
        <f t="shared" si="5"/>
        <v>69.62046449506566</v>
      </c>
      <c r="H51" s="37">
        <f>B51-D51</f>
        <v>8059.9000000000015</v>
      </c>
      <c r="I51" s="37">
        <f t="shared" si="6"/>
        <v>11463.900000000001</v>
      </c>
      <c r="J51" s="153"/>
      <c r="K51" s="154"/>
    </row>
    <row r="52" spans="1:11" s="152" customFormat="1" ht="17.25">
      <c r="A52" s="92" t="s">
        <v>3</v>
      </c>
      <c r="B52" s="114">
        <f>16585.9+1913.6</f>
        <v>18499.5</v>
      </c>
      <c r="C52" s="115">
        <f>20097.4+82.2</f>
        <v>20179.600000000002</v>
      </c>
      <c r="D52" s="94">
        <f>632.9+34.3+767.3+737.6+710.6+649.6+792.4+1.6+643.1+825.6+650.1+947+1196.1+785.4+658.1+439+623.6+358.8+550.5+716.3+1140.3+694.7+845.6</f>
        <v>15400.5</v>
      </c>
      <c r="E52" s="96">
        <f>D52/D51*100</f>
        <v>58.620112135872446</v>
      </c>
      <c r="F52" s="96">
        <f t="shared" si="7"/>
        <v>83.2481958971864</v>
      </c>
      <c r="G52" s="96">
        <f t="shared" si="5"/>
        <v>76.3171717972606</v>
      </c>
      <c r="H52" s="94">
        <f t="shared" si="8"/>
        <v>3099</v>
      </c>
      <c r="I52" s="94">
        <f t="shared" si="6"/>
        <v>4779.100000000002</v>
      </c>
      <c r="J52" s="153"/>
      <c r="K52" s="154"/>
    </row>
    <row r="53" spans="1:11" s="152" customFormat="1" ht="17.25">
      <c r="A53" s="92" t="s">
        <v>2</v>
      </c>
      <c r="B53" s="114">
        <v>15.3</v>
      </c>
      <c r="C53" s="115">
        <f>13.9+1.38435</f>
        <v>15.28435</v>
      </c>
      <c r="D53" s="94">
        <f>1+1.7</f>
        <v>2.7</v>
      </c>
      <c r="E53" s="96">
        <f>D53/D51*100</f>
        <v>0.010277218451794138</v>
      </c>
      <c r="F53" s="96">
        <f>D53/B53*100</f>
        <v>17.647058823529413</v>
      </c>
      <c r="G53" s="96">
        <f t="shared" si="5"/>
        <v>17.665128055821803</v>
      </c>
      <c r="H53" s="94">
        <f t="shared" si="8"/>
        <v>12.600000000000001</v>
      </c>
      <c r="I53" s="94">
        <f t="shared" si="6"/>
        <v>12.58435</v>
      </c>
      <c r="J53" s="153"/>
      <c r="K53" s="154"/>
    </row>
    <row r="54" spans="1:11" s="152" customFormat="1" ht="17.25">
      <c r="A54" s="92" t="s">
        <v>1</v>
      </c>
      <c r="B54" s="114">
        <f>869.1+155.1</f>
        <v>1024.2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</f>
        <v>752.8000000000001</v>
      </c>
      <c r="E54" s="96">
        <f>D54/D51*100</f>
        <v>2.86544075944838</v>
      </c>
      <c r="F54" s="96">
        <f t="shared" si="7"/>
        <v>73.50126928334309</v>
      </c>
      <c r="G54" s="96">
        <f t="shared" si="5"/>
        <v>68.83686905632773</v>
      </c>
      <c r="H54" s="94">
        <f t="shared" si="8"/>
        <v>271.4</v>
      </c>
      <c r="I54" s="94">
        <f t="shared" si="6"/>
        <v>340.79999999999984</v>
      </c>
      <c r="J54" s="153"/>
      <c r="K54" s="154"/>
    </row>
    <row r="55" spans="1:11" s="152" customFormat="1" ht="17.25">
      <c r="A55" s="92" t="s">
        <v>0</v>
      </c>
      <c r="B55" s="114">
        <f>824+106.3+186</f>
        <v>1116.3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</f>
        <v>580.3000000000001</v>
      </c>
      <c r="E55" s="96">
        <f>D55/D51*100</f>
        <v>2.208840691694866</v>
      </c>
      <c r="F55" s="96">
        <f t="shared" si="7"/>
        <v>51.9842336289528</v>
      </c>
      <c r="G55" s="96">
        <f t="shared" si="5"/>
        <v>47.56947290761538</v>
      </c>
      <c r="H55" s="94">
        <f t="shared" si="8"/>
        <v>535.9999999999999</v>
      </c>
      <c r="I55" s="94">
        <f t="shared" si="6"/>
        <v>639.6</v>
      </c>
      <c r="J55" s="153"/>
      <c r="K55" s="154"/>
    </row>
    <row r="56" spans="1:11" s="152" customFormat="1" ht="17.25">
      <c r="A56" s="92" t="s">
        <v>14</v>
      </c>
      <c r="B56" s="114">
        <f>1100+110</f>
        <v>1210</v>
      </c>
      <c r="C56" s="115">
        <v>1320</v>
      </c>
      <c r="D56" s="115">
        <f>110+110+110+110+110+110+110+110+110+106</f>
        <v>1096</v>
      </c>
      <c r="E56" s="96">
        <f>D56/D51*100</f>
        <v>4.171789415987546</v>
      </c>
      <c r="F56" s="96">
        <f>D56/B56*100</f>
        <v>90.57851239669421</v>
      </c>
      <c r="G56" s="96">
        <f>D56/C56*100</f>
        <v>83.03030303030303</v>
      </c>
      <c r="H56" s="94">
        <f t="shared" si="8"/>
        <v>114</v>
      </c>
      <c r="I56" s="94">
        <f t="shared" si="6"/>
        <v>224</v>
      </c>
      <c r="J56" s="153"/>
      <c r="K56" s="154"/>
    </row>
    <row r="57" spans="1:11" s="152" customFormat="1" ht="18" thickBot="1">
      <c r="A57" s="92" t="s">
        <v>27</v>
      </c>
      <c r="B57" s="115">
        <f>B51-B52-B55-B54-B53-B56</f>
        <v>12466.3</v>
      </c>
      <c r="C57" s="115">
        <f>C51-C52-C55-C54-C53-C56</f>
        <v>13907.215649999996</v>
      </c>
      <c r="D57" s="115">
        <f>D51-D52-D55-D54-D53-D56</f>
        <v>8439.399999999998</v>
      </c>
      <c r="E57" s="96">
        <f>D57/D51*100</f>
        <v>32.123539778544966</v>
      </c>
      <c r="F57" s="96">
        <f t="shared" si="7"/>
        <v>67.69771303434057</v>
      </c>
      <c r="G57" s="96">
        <f t="shared" si="5"/>
        <v>60.6836063550938</v>
      </c>
      <c r="H57" s="94">
        <f>B57-D57</f>
        <v>4026.9000000000015</v>
      </c>
      <c r="I57" s="94">
        <f>C57-D57</f>
        <v>5467.815649999999</v>
      </c>
      <c r="J57" s="153"/>
      <c r="K57" s="154"/>
    </row>
    <row r="58" spans="1:11" s="29" customFormat="1" ht="18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0.44151930808592216</v>
      </c>
      <c r="F59" s="3">
        <f>D59/B59*100</f>
        <v>80.04067371244986</v>
      </c>
      <c r="G59" s="3">
        <f t="shared" si="5"/>
        <v>77.10230706708627</v>
      </c>
      <c r="H59" s="37">
        <f>B59-D59</f>
        <v>1845.0999999999976</v>
      </c>
      <c r="I59" s="37">
        <f t="shared" si="6"/>
        <v>2197.3999999999987</v>
      </c>
      <c r="J59" s="153"/>
      <c r="K59" s="154"/>
    </row>
    <row r="60" spans="1:11" s="152" customFormat="1" ht="17.25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</f>
        <v>2472.9000000000005</v>
      </c>
      <c r="E60" s="96">
        <f>D60/D59*100</f>
        <v>33.42118066818035</v>
      </c>
      <c r="F60" s="96">
        <f t="shared" si="7"/>
        <v>86.40159323573602</v>
      </c>
      <c r="G60" s="96">
        <f t="shared" si="5"/>
        <v>79.26723723434948</v>
      </c>
      <c r="H60" s="94">
        <f t="shared" si="8"/>
        <v>389.19999999999936</v>
      </c>
      <c r="I60" s="94">
        <f t="shared" si="6"/>
        <v>646.7999999999993</v>
      </c>
      <c r="J60" s="153"/>
      <c r="K60" s="154"/>
    </row>
    <row r="61" spans="1:11" s="152" customFormat="1" ht="17.25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5.285706562871661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7.25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</f>
        <v>245.2999999999999</v>
      </c>
      <c r="E62" s="96">
        <f>D62/D59*100</f>
        <v>3.3152232673802553</v>
      </c>
      <c r="F62" s="96">
        <f t="shared" si="7"/>
        <v>68.94322653175938</v>
      </c>
      <c r="G62" s="96">
        <f t="shared" si="5"/>
        <v>62.3063246126492</v>
      </c>
      <c r="H62" s="94">
        <f t="shared" si="8"/>
        <v>110.50000000000011</v>
      </c>
      <c r="I62" s="94">
        <f t="shared" si="6"/>
        <v>148.4000000000001</v>
      </c>
      <c r="J62" s="153"/>
      <c r="K62" s="154"/>
    </row>
    <row r="63" spans="1:11" s="152" customFormat="1" ht="17.25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48.42955995242728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3"/>
      <c r="K63" s="154"/>
    </row>
    <row r="64" spans="1:11" s="152" customFormat="1" ht="18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706.5000000000008</v>
      </c>
      <c r="E64" s="96">
        <f>D64/D59*100</f>
        <v>9.548329549140457</v>
      </c>
      <c r="F64" s="96">
        <f t="shared" si="7"/>
        <v>92.14816747097983</v>
      </c>
      <c r="G64" s="96">
        <f t="shared" si="5"/>
        <v>85.79234972677601</v>
      </c>
      <c r="H64" s="94">
        <f t="shared" si="8"/>
        <v>60.199999999997544</v>
      </c>
      <c r="I64" s="94">
        <f t="shared" si="6"/>
        <v>116.99999999999966</v>
      </c>
      <c r="J64" s="153"/>
      <c r="K64" s="154"/>
    </row>
    <row r="65" spans="1:11" s="29" customFormat="1" ht="18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8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8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8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0.013545367463442575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3"/>
      <c r="K69" s="154"/>
    </row>
    <row r="70" spans="1:11" s="152" customFormat="1" ht="17.25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3"/>
      <c r="K71" s="154"/>
    </row>
    <row r="72" spans="1:11" ht="35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7.2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7.2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7.2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8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8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7.25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8" thickBot="1">
      <c r="A90" s="11" t="s">
        <v>10</v>
      </c>
      <c r="B90" s="42">
        <f>175244.2+100-321+14144.1</f>
        <v>189167.30000000002</v>
      </c>
      <c r="C90" s="36">
        <f>200580.6+2044.4+100+113.7+1216.5</f>
        <v>204055.2</v>
      </c>
      <c r="D90" s="37">
        <f>163043.6+2929.1+4743+0.1+24.6+255.3+62.3</f>
        <v>171058</v>
      </c>
      <c r="E90" s="3">
        <f>D90/D154*100</f>
        <v>10.20723994520511</v>
      </c>
      <c r="F90" s="3">
        <f aca="true" t="shared" si="11" ref="F90:F96">D90/B90*100</f>
        <v>90.42683381324362</v>
      </c>
      <c r="G90" s="3">
        <f t="shared" si="9"/>
        <v>83.8292775680306</v>
      </c>
      <c r="H90" s="37">
        <f aca="true" t="shared" si="12" ref="H90:H96">B90-D90</f>
        <v>18109.300000000017</v>
      </c>
      <c r="I90" s="37">
        <f t="shared" si="10"/>
        <v>32997.20000000001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163944.6+273.6+100-321+12937.6</f>
        <v>176934.80000000002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</f>
        <v>161690.11000000004</v>
      </c>
      <c r="E91" s="96">
        <f>D91/D90*100</f>
        <v>94.5235592606017</v>
      </c>
      <c r="F91" s="96">
        <f t="shared" si="11"/>
        <v>91.38400699014554</v>
      </c>
      <c r="G91" s="96">
        <f t="shared" si="9"/>
        <v>85.12097973554556</v>
      </c>
      <c r="H91" s="94">
        <f t="shared" si="12"/>
        <v>15244.689999999973</v>
      </c>
      <c r="I91" s="94">
        <f t="shared" si="10"/>
        <v>28263.189999999944</v>
      </c>
      <c r="K91" s="154"/>
    </row>
    <row r="92" spans="1:11" s="152" customFormat="1" ht="17.25">
      <c r="A92" s="92" t="s">
        <v>25</v>
      </c>
      <c r="B92" s="114">
        <f>2081.4-200+447.4</f>
        <v>2328.8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</f>
        <v>1713.5000000000002</v>
      </c>
      <c r="E92" s="96">
        <f>D92/D90*100</f>
        <v>1.001707023348806</v>
      </c>
      <c r="F92" s="96">
        <f t="shared" si="11"/>
        <v>73.57866712469942</v>
      </c>
      <c r="G92" s="96">
        <f t="shared" si="9"/>
        <v>61.71661143927388</v>
      </c>
      <c r="H92" s="94">
        <f t="shared" si="12"/>
        <v>615.3</v>
      </c>
      <c r="I92" s="94">
        <f t="shared" si="10"/>
        <v>1062.8999999999999</v>
      </c>
      <c r="K92" s="154"/>
    </row>
    <row r="93" spans="1:11" s="152" customFormat="1" ht="17.25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" thickBot="1">
      <c r="A94" s="92" t="s">
        <v>27</v>
      </c>
      <c r="B94" s="115">
        <f>B90-B91-B92-B93</f>
        <v>9903.7</v>
      </c>
      <c r="C94" s="115">
        <f>C90-C91-C92-C93</f>
        <v>11325.500000000024</v>
      </c>
      <c r="D94" s="115">
        <f>D90-D91-D92-D93</f>
        <v>7654.389999999956</v>
      </c>
      <c r="E94" s="96">
        <f>D94/D90*100</f>
        <v>4.474733716049501</v>
      </c>
      <c r="F94" s="96">
        <f t="shared" si="11"/>
        <v>77.28818522370382</v>
      </c>
      <c r="G94" s="96">
        <f>D94/C94*100</f>
        <v>67.58544876605836</v>
      </c>
      <c r="H94" s="94">
        <f t="shared" si="12"/>
        <v>2249.310000000045</v>
      </c>
      <c r="I94" s="94">
        <f>C94-D94</f>
        <v>3671.110000000068</v>
      </c>
      <c r="K94" s="154"/>
    </row>
    <row r="95" spans="1:11" ht="17.25">
      <c r="A95" s="76" t="s">
        <v>12</v>
      </c>
      <c r="B95" s="84">
        <f>38068.1-332.8-568.7-2113+5742.5+90-16</f>
        <v>40870.1</v>
      </c>
      <c r="C95" s="79">
        <f>46414.5+100+39.4+1153.5-64.6-244.3+39946.8</f>
        <v>87345.3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</f>
        <v>35544.3</v>
      </c>
      <c r="E95" s="75">
        <f>D95/D154*100</f>
        <v>2.1209718270081144</v>
      </c>
      <c r="F95" s="77">
        <f t="shared" si="11"/>
        <v>86.96895774661672</v>
      </c>
      <c r="G95" s="74">
        <f>D95/C95*100</f>
        <v>40.69400414218052</v>
      </c>
      <c r="H95" s="78">
        <f t="shared" si="12"/>
        <v>5325.799999999996</v>
      </c>
      <c r="I95" s="80">
        <f>C95-D95</f>
        <v>51801</v>
      </c>
      <c r="J95" s="153"/>
      <c r="K95" s="154"/>
    </row>
    <row r="96" spans="1:11" s="152" customFormat="1" ht="18" thickBot="1">
      <c r="A96" s="117" t="s">
        <v>83</v>
      </c>
      <c r="B96" s="118">
        <f>10039.2-1230+1305.5</f>
        <v>10114.7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</f>
        <v>9842.699999999999</v>
      </c>
      <c r="E96" s="121">
        <f>D96/D95*100</f>
        <v>27.69135979608544</v>
      </c>
      <c r="F96" s="122">
        <f t="shared" si="11"/>
        <v>97.31084461229693</v>
      </c>
      <c r="G96" s="123">
        <f>D96/C96*100</f>
        <v>76.8108816781383</v>
      </c>
      <c r="H96" s="124">
        <f t="shared" si="12"/>
        <v>272.0000000000018</v>
      </c>
      <c r="I96" s="113">
        <f>C96-D96</f>
        <v>2971.500000000002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8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8" thickBot="1">
      <c r="A102" s="11" t="s">
        <v>11</v>
      </c>
      <c r="B102" s="83">
        <f>11280.9-100+784.6</f>
        <v>11965.5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</f>
        <v>9749.400000000001</v>
      </c>
      <c r="E102" s="16">
        <f>D102/D154*100</f>
        <v>0.5817586147492823</v>
      </c>
      <c r="F102" s="16">
        <f>D102/B102*100</f>
        <v>81.47925285194937</v>
      </c>
      <c r="G102" s="16">
        <f aca="true" t="shared" si="14" ref="G102:G152">D102/C102*100</f>
        <v>70.09821544125049</v>
      </c>
      <c r="H102" s="62">
        <f aca="true" t="shared" si="15" ref="H102:H108">B102-D102</f>
        <v>2216.0999999999985</v>
      </c>
      <c r="I102" s="62">
        <f aca="true" t="shared" si="16" ref="I102:I152">C102-D102</f>
        <v>4158.799999999999</v>
      </c>
      <c r="J102" s="148"/>
      <c r="K102" s="154"/>
    </row>
    <row r="103" spans="1:11" s="152" customFormat="1" ht="18.75" customHeight="1">
      <c r="A103" s="92" t="s">
        <v>3</v>
      </c>
      <c r="B103" s="106">
        <f>291.1+36.4</f>
        <v>327.5</v>
      </c>
      <c r="C103" s="107">
        <v>363.8</v>
      </c>
      <c r="D103" s="107">
        <f>31.2+4.8+33.9+5.2+30.9+10.3+19.9+19.5+19.7+20.2+35.3+10.4</f>
        <v>241.29999999999998</v>
      </c>
      <c r="E103" s="108">
        <f>D103/D102*100</f>
        <v>2.475024104047428</v>
      </c>
      <c r="F103" s="96">
        <f>D103/B103*100</f>
        <v>73.6793893129771</v>
      </c>
      <c r="G103" s="108">
        <f>D103/C103*100</f>
        <v>66.32765255634963</v>
      </c>
      <c r="H103" s="107">
        <f t="shared" si="15"/>
        <v>86.20000000000002</v>
      </c>
      <c r="I103" s="107">
        <f t="shared" si="16"/>
        <v>122.50000000000003</v>
      </c>
      <c r="J103" s="153"/>
      <c r="K103" s="154"/>
    </row>
    <row r="104" spans="1:11" s="152" customFormat="1" ht="17.25">
      <c r="A104" s="109" t="s">
        <v>48</v>
      </c>
      <c r="B104" s="93">
        <f>9329.9-100+615.6</f>
        <v>9845.5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</f>
        <v>8307.099999999999</v>
      </c>
      <c r="E104" s="96">
        <f>D104/D102*100</f>
        <v>85.20626910373969</v>
      </c>
      <c r="F104" s="96">
        <f aca="true" t="shared" si="17" ref="F104:F152">D104/B104*100</f>
        <v>84.37458737494285</v>
      </c>
      <c r="G104" s="96">
        <f t="shared" si="14"/>
        <v>78.19256581857886</v>
      </c>
      <c r="H104" s="94">
        <f t="shared" si="15"/>
        <v>1538.4000000000015</v>
      </c>
      <c r="I104" s="94">
        <f t="shared" si="16"/>
        <v>2316.800000000001</v>
      </c>
      <c r="J104" s="153"/>
      <c r="K104" s="154"/>
    </row>
    <row r="105" spans="1:11" s="152" customFormat="1" ht="52.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" thickBot="1">
      <c r="A106" s="110" t="s">
        <v>27</v>
      </c>
      <c r="B106" s="111">
        <f>B102-B103-B104</f>
        <v>1792.5</v>
      </c>
      <c r="C106" s="111">
        <f>C102-C103-C104</f>
        <v>2920.500000000002</v>
      </c>
      <c r="D106" s="111">
        <f>D102-D103-D104</f>
        <v>1201.0000000000036</v>
      </c>
      <c r="E106" s="112">
        <f>D106/D102*100</f>
        <v>12.31870679221289</v>
      </c>
      <c r="F106" s="112">
        <f t="shared" si="17"/>
        <v>67.00139470013967</v>
      </c>
      <c r="G106" s="112">
        <f t="shared" si="14"/>
        <v>41.123095360383594</v>
      </c>
      <c r="H106" s="113">
        <f t="shared" si="15"/>
        <v>591.4999999999964</v>
      </c>
      <c r="I106" s="113">
        <f t="shared" si="16"/>
        <v>1719.4999999999982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517550.7920600002</v>
      </c>
      <c r="C107" s="64">
        <f>SUM(C108:C151)-C115-C120+C152-C142-C143-C109-C112-C123-C124-C140-C133-C131-C138-C118</f>
        <v>578004.4999999999</v>
      </c>
      <c r="D107" s="64">
        <f>SUM(D108:D151)-D115-D120+D152-D142-D143-D109-D112-D123-D124-D140-D133-D131-D138-D118</f>
        <v>427853.1</v>
      </c>
      <c r="E107" s="65">
        <f>D107/D154*100</f>
        <v>25.530517444374635</v>
      </c>
      <c r="F107" s="65">
        <f>D107/B107*100</f>
        <v>82.6688136824257</v>
      </c>
      <c r="G107" s="65">
        <f t="shared" si="14"/>
        <v>74.02245138229894</v>
      </c>
      <c r="H107" s="64">
        <f t="shared" si="15"/>
        <v>89697.6920600002</v>
      </c>
      <c r="I107" s="64">
        <f t="shared" si="16"/>
        <v>150151.3999999999</v>
      </c>
      <c r="J107" s="145"/>
      <c r="K107" s="154"/>
      <c r="L107" s="86"/>
    </row>
    <row r="108" spans="1:12" s="152" customFormat="1" ht="34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</f>
        <v>2311.7</v>
      </c>
      <c r="E108" s="89">
        <f>D108/D107*100</f>
        <v>0.5403022672968829</v>
      </c>
      <c r="F108" s="89">
        <f t="shared" si="17"/>
        <v>59.47872176195131</v>
      </c>
      <c r="G108" s="89">
        <f t="shared" si="14"/>
        <v>51.84346265978918</v>
      </c>
      <c r="H108" s="90">
        <f t="shared" si="15"/>
        <v>1574.9</v>
      </c>
      <c r="I108" s="90">
        <f t="shared" si="16"/>
        <v>2147.3</v>
      </c>
      <c r="K108" s="154"/>
      <c r="L108" s="91"/>
    </row>
    <row r="109" spans="1:12" s="152" customFormat="1" ht="17.2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</f>
        <v>816.4</v>
      </c>
      <c r="E109" s="96">
        <f>D109/D108*100</f>
        <v>35.31600121122983</v>
      </c>
      <c r="F109" s="96">
        <f t="shared" si="17"/>
        <v>47.25083921750202</v>
      </c>
      <c r="G109" s="96">
        <f t="shared" si="14"/>
        <v>40.92230576441103</v>
      </c>
      <c r="H109" s="94">
        <f aca="true" t="shared" si="18" ref="H109:H152">B109-D109</f>
        <v>911.4000000000002</v>
      </c>
      <c r="I109" s="94">
        <f t="shared" si="16"/>
        <v>1178.6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4"/>
      <c r="L111" s="91"/>
    </row>
    <row r="112" spans="1:12" s="152" customFormat="1" ht="17.2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7.25">
      <c r="A113" s="97" t="s">
        <v>89</v>
      </c>
      <c r="B113" s="143">
        <v>64.296</v>
      </c>
      <c r="C113" s="90">
        <v>64.3</v>
      </c>
      <c r="D113" s="88">
        <f>6.8+7+3.6+16.9</f>
        <v>34.3</v>
      </c>
      <c r="E113" s="89">
        <f>D113/D107*100</f>
        <v>0.008016770241935842</v>
      </c>
      <c r="F113" s="89">
        <f t="shared" si="17"/>
        <v>53.347020032350365</v>
      </c>
      <c r="G113" s="89">
        <f t="shared" si="14"/>
        <v>53.34370139968896</v>
      </c>
      <c r="H113" s="90">
        <f t="shared" si="18"/>
        <v>29.99600000000001</v>
      </c>
      <c r="I113" s="90">
        <f t="shared" si="16"/>
        <v>30</v>
      </c>
      <c r="K113" s="154"/>
      <c r="L113" s="91"/>
    </row>
    <row r="114" spans="1:12" s="152" customFormat="1" ht="34.5">
      <c r="A114" s="97" t="s">
        <v>38</v>
      </c>
      <c r="B114" s="143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89">
        <f>D114/D107*100</f>
        <v>0.563417677702931</v>
      </c>
      <c r="F114" s="89">
        <f t="shared" si="17"/>
        <v>79.37438261442212</v>
      </c>
      <c r="G114" s="89">
        <f t="shared" si="14"/>
        <v>72.7948059791635</v>
      </c>
      <c r="H114" s="90">
        <f t="shared" si="18"/>
        <v>626.4000000000005</v>
      </c>
      <c r="I114" s="90">
        <f t="shared" si="16"/>
        <v>900.9000000000005</v>
      </c>
      <c r="K114" s="154"/>
      <c r="L114" s="91"/>
    </row>
    <row r="115" spans="1:12" s="152" customFormat="1" ht="17.2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4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</f>
        <v>63</v>
      </c>
      <c r="E117" s="89">
        <f>D117/D107*100</f>
        <v>0.01472468003620869</v>
      </c>
      <c r="F117" s="89">
        <f>D117/B117*100</f>
        <v>90</v>
      </c>
      <c r="G117" s="89">
        <f t="shared" si="14"/>
        <v>90</v>
      </c>
      <c r="H117" s="90">
        <f t="shared" si="18"/>
        <v>7</v>
      </c>
      <c r="I117" s="90">
        <f t="shared" si="16"/>
        <v>7</v>
      </c>
      <c r="K117" s="154"/>
      <c r="L117" s="91"/>
    </row>
    <row r="118" spans="1:12" s="152" customFormat="1" ht="17.2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63.49206349206349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7.2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</f>
        <v>385.20000000000005</v>
      </c>
      <c r="E119" s="89">
        <f>D119/D107*100</f>
        <v>0.09003090079281885</v>
      </c>
      <c r="F119" s="89">
        <f t="shared" si="17"/>
        <v>87.34693877551022</v>
      </c>
      <c r="G119" s="89">
        <f t="shared" si="14"/>
        <v>78.35638730675346</v>
      </c>
      <c r="H119" s="90">
        <f t="shared" si="18"/>
        <v>55.799999999999955</v>
      </c>
      <c r="I119" s="90">
        <f t="shared" si="16"/>
        <v>106.39999999999998</v>
      </c>
      <c r="K119" s="154"/>
      <c r="L119" s="91"/>
    </row>
    <row r="120" spans="1:12" s="103" customFormat="1" ht="17.25">
      <c r="A120" s="100" t="s">
        <v>43</v>
      </c>
      <c r="B120" s="93">
        <f>317.9+45.4</f>
        <v>363.29999999999995</v>
      </c>
      <c r="C120" s="94">
        <v>408.8</v>
      </c>
      <c r="D120" s="95">
        <f>45.4+45.4+45.4+45.4+45.4+0.1+45.4+45.4</f>
        <v>317.9</v>
      </c>
      <c r="E120" s="96">
        <f>D120/D119*100</f>
        <v>82.52855659397714</v>
      </c>
      <c r="F120" s="96">
        <f t="shared" si="17"/>
        <v>87.50344068263144</v>
      </c>
      <c r="G120" s="96">
        <f t="shared" si="14"/>
        <v>77.76418786692759</v>
      </c>
      <c r="H120" s="94">
        <f t="shared" si="18"/>
        <v>45.39999999999998</v>
      </c>
      <c r="I120" s="94">
        <f t="shared" si="16"/>
        <v>90.90000000000003</v>
      </c>
      <c r="K120" s="154"/>
      <c r="L120" s="91"/>
    </row>
    <row r="121" spans="1:12" s="102" customFormat="1" ht="17.25">
      <c r="A121" s="97" t="s">
        <v>105</v>
      </c>
      <c r="B121" s="143">
        <f>275+22</f>
        <v>297</v>
      </c>
      <c r="C121" s="98">
        <v>317</v>
      </c>
      <c r="D121" s="88">
        <f>3.6+3</f>
        <v>6.6</v>
      </c>
      <c r="E121" s="89">
        <f>D121/D107*100</f>
        <v>0.0015425855276028151</v>
      </c>
      <c r="F121" s="89">
        <f t="shared" si="17"/>
        <v>2.222222222222222</v>
      </c>
      <c r="G121" s="89">
        <f t="shared" si="14"/>
        <v>2.082018927444795</v>
      </c>
      <c r="H121" s="90">
        <f t="shared" si="18"/>
        <v>290.4</v>
      </c>
      <c r="I121" s="90">
        <f t="shared" si="16"/>
        <v>310.4</v>
      </c>
      <c r="K121" s="154"/>
      <c r="L121" s="91"/>
    </row>
    <row r="122" spans="1:12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0.1102948652236013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5"/>
      <c r="K122" s="154">
        <f>H108+H111+H113+H114+H117+H119+H121+H126+H127+H128+H130+H132+H136+H137+H139+H69</f>
        <v>5399.559000000002</v>
      </c>
      <c r="L122" s="91"/>
    </row>
    <row r="123" spans="1:12" s="104" customFormat="1" ht="17.2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7.2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4.5">
      <c r="A125" s="97" t="s">
        <v>95</v>
      </c>
      <c r="B125" s="143">
        <f>40504.1+3053.2+1425.5+1000+1361.8+3945.8</f>
        <v>51290.4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</f>
        <v>46404.200000000004</v>
      </c>
      <c r="E125" s="101">
        <f>D125/D107*100</f>
        <v>10.845825354543418</v>
      </c>
      <c r="F125" s="89">
        <f t="shared" si="17"/>
        <v>90.47346092056215</v>
      </c>
      <c r="G125" s="89">
        <f t="shared" si="14"/>
        <v>74.23329861960958</v>
      </c>
      <c r="H125" s="90">
        <f t="shared" si="18"/>
        <v>4886.199999999997</v>
      </c>
      <c r="I125" s="90">
        <f t="shared" si="16"/>
        <v>16107.099999999999</v>
      </c>
      <c r="K125" s="154"/>
      <c r="L125" s="91"/>
    </row>
    <row r="126" spans="1:12" s="102" customFormat="1" ht="17.25">
      <c r="A126" s="97" t="s">
        <v>91</v>
      </c>
      <c r="B126" s="143">
        <f>685+10</f>
        <v>695</v>
      </c>
      <c r="C126" s="98">
        <v>700</v>
      </c>
      <c r="D126" s="99">
        <f>9.6+1.5</f>
        <v>11.1</v>
      </c>
      <c r="E126" s="101">
        <f>D126/D107*100</f>
        <v>0.0025943483873320074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4"/>
      <c r="L126" s="91"/>
    </row>
    <row r="127" spans="1:12" s="102" customFormat="1" ht="34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</f>
        <v>170.8</v>
      </c>
      <c r="E127" s="101">
        <f>D127/D107*100</f>
        <v>0.03992024365372134</v>
      </c>
      <c r="F127" s="89">
        <f t="shared" si="17"/>
        <v>37.955555555555556</v>
      </c>
      <c r="G127" s="89">
        <f t="shared" si="14"/>
        <v>37.955555555555556</v>
      </c>
      <c r="H127" s="90">
        <f t="shared" si="18"/>
        <v>279.2</v>
      </c>
      <c r="I127" s="90">
        <f t="shared" si="16"/>
        <v>279.2</v>
      </c>
      <c r="K127" s="154"/>
      <c r="L127" s="91"/>
    </row>
    <row r="128" spans="1:12" s="102" customFormat="1" ht="34.5">
      <c r="A128" s="97" t="s">
        <v>85</v>
      </c>
      <c r="B128" s="143">
        <v>111.1</v>
      </c>
      <c r="C128" s="98">
        <f>111.1</f>
        <v>111.1</v>
      </c>
      <c r="D128" s="99">
        <v>34.5</v>
      </c>
      <c r="E128" s="101">
        <f>D128/D107*100</f>
        <v>0.008063515257923806</v>
      </c>
      <c r="F128" s="89">
        <f t="shared" si="17"/>
        <v>31.053105310531055</v>
      </c>
      <c r="G128" s="89">
        <f t="shared" si="14"/>
        <v>31.053105310531055</v>
      </c>
      <c r="H128" s="90">
        <f t="shared" si="18"/>
        <v>76.6</v>
      </c>
      <c r="I128" s="90">
        <f t="shared" si="16"/>
        <v>76.6</v>
      </c>
      <c r="K128" s="154"/>
      <c r="L128" s="91"/>
    </row>
    <row r="129" spans="1:12" s="102" customFormat="1" ht="17.2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2" s="102" customFormat="1" ht="34.5">
      <c r="A130" s="97" t="s">
        <v>57</v>
      </c>
      <c r="B130" s="143">
        <f>879.4+25.3</f>
        <v>904.6999999999999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</f>
        <v>424.5</v>
      </c>
      <c r="E130" s="101">
        <f>D130/D107*100</f>
        <v>0.0992162964344538</v>
      </c>
      <c r="F130" s="89">
        <f t="shared" si="17"/>
        <v>46.92163148004864</v>
      </c>
      <c r="G130" s="89">
        <f t="shared" si="14"/>
        <v>45.06369426751593</v>
      </c>
      <c r="H130" s="90">
        <f t="shared" si="18"/>
        <v>480.19999999999993</v>
      </c>
      <c r="I130" s="90">
        <f t="shared" si="16"/>
        <v>517.5</v>
      </c>
      <c r="K130" s="154"/>
      <c r="L130" s="91"/>
    </row>
    <row r="131" spans="1:12" s="103" customFormat="1" ht="17.25">
      <c r="A131" s="92" t="s">
        <v>88</v>
      </c>
      <c r="B131" s="93">
        <f>485.7+11</f>
        <v>496.7</v>
      </c>
      <c r="C131" s="94">
        <v>510.8</v>
      </c>
      <c r="D131" s="95">
        <f>7+7.1+7+7.1+7+7+7.4+7.4+7.4+46+7.3</f>
        <v>117.7</v>
      </c>
      <c r="E131" s="96">
        <f>D131/D130*100</f>
        <v>27.72673733804476</v>
      </c>
      <c r="F131" s="96">
        <f>D131/B131*100</f>
        <v>23.696396215019128</v>
      </c>
      <c r="G131" s="96">
        <f t="shared" si="14"/>
        <v>23.042286609240406</v>
      </c>
      <c r="H131" s="94">
        <f t="shared" si="18"/>
        <v>379</v>
      </c>
      <c r="I131" s="94">
        <f t="shared" si="16"/>
        <v>393.1</v>
      </c>
      <c r="K131" s="154"/>
      <c r="L131" s="91"/>
    </row>
    <row r="132" spans="1:12" s="102" customFormat="1" ht="34.5">
      <c r="A132" s="97" t="s">
        <v>103</v>
      </c>
      <c r="B132" s="143">
        <f>395+45</f>
        <v>440</v>
      </c>
      <c r="C132" s="98">
        <v>485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440</v>
      </c>
      <c r="I132" s="90">
        <f t="shared" si="16"/>
        <v>485</v>
      </c>
      <c r="K132" s="154"/>
      <c r="L132" s="91">
        <f>H140+H109</f>
        <v>1009.3000000000002</v>
      </c>
    </row>
    <row r="133" spans="1:12" s="103" customFormat="1" ht="17.2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</f>
        <v>245.5</v>
      </c>
      <c r="E136" s="101">
        <f>D136/D107*100</f>
        <v>0.05737950712522593</v>
      </c>
      <c r="F136" s="89">
        <f t="shared" si="17"/>
        <v>70.14285714285714</v>
      </c>
      <c r="G136" s="89">
        <f t="shared" si="14"/>
        <v>16.552049622437973</v>
      </c>
      <c r="H136" s="90">
        <f t="shared" si="18"/>
        <v>104.5</v>
      </c>
      <c r="I136" s="90">
        <f t="shared" si="16"/>
        <v>1237.7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</f>
        <v>76.19999999999999</v>
      </c>
      <c r="E137" s="101">
        <f>D137/D107*100</f>
        <v>0.01780985109141432</v>
      </c>
      <c r="F137" s="89">
        <f t="shared" si="17"/>
        <v>23.812499999999996</v>
      </c>
      <c r="G137" s="89">
        <f t="shared" si="14"/>
        <v>21.77142857142857</v>
      </c>
      <c r="H137" s="90">
        <f t="shared" si="18"/>
        <v>243.8</v>
      </c>
      <c r="I137" s="90">
        <f t="shared" si="16"/>
        <v>273.8</v>
      </c>
      <c r="K137" s="154"/>
      <c r="L137" s="91"/>
    </row>
    <row r="138" spans="1:12" s="103" customFormat="1" ht="17.25">
      <c r="A138" s="92" t="s">
        <v>88</v>
      </c>
      <c r="B138" s="93">
        <f>86+12</f>
        <v>98</v>
      </c>
      <c r="C138" s="94">
        <v>110</v>
      </c>
      <c r="D138" s="95">
        <f>3.7+1.9+12.1+11.1+3.6+6+7.1</f>
        <v>45.5</v>
      </c>
      <c r="E138" s="96"/>
      <c r="F138" s="89">
        <f>D138/B138*100</f>
        <v>46.42857142857143</v>
      </c>
      <c r="G138" s="96">
        <f>D138/C138*100</f>
        <v>41.36363636363637</v>
      </c>
      <c r="H138" s="94">
        <f>B138-D138</f>
        <v>52.5</v>
      </c>
      <c r="I138" s="94">
        <f>C138-D138</f>
        <v>64.5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</f>
        <v>425.70000000000016</v>
      </c>
      <c r="E139" s="101">
        <f>D139/D107*100</f>
        <v>0.09949676653038161</v>
      </c>
      <c r="F139" s="89">
        <f>D139/B139*100</f>
        <v>76.427289048474</v>
      </c>
      <c r="G139" s="89">
        <f>D139/C139*100</f>
        <v>70.05101201250619</v>
      </c>
      <c r="H139" s="90">
        <f t="shared" si="18"/>
        <v>131.29999999999984</v>
      </c>
      <c r="I139" s="90">
        <f t="shared" si="16"/>
        <v>181.9999999999999</v>
      </c>
      <c r="K139" s="154"/>
      <c r="L139" s="91"/>
    </row>
    <row r="140" spans="1:12" s="103" customFormat="1" ht="17.2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</f>
        <v>350.2</v>
      </c>
      <c r="E140" s="96">
        <f>D140/D139*100</f>
        <v>82.26450552031945</v>
      </c>
      <c r="F140" s="96">
        <f t="shared" si="17"/>
        <v>78.15219817005132</v>
      </c>
      <c r="G140" s="96">
        <f>D140/C140*100</f>
        <v>71.52777777777777</v>
      </c>
      <c r="H140" s="94">
        <f t="shared" si="18"/>
        <v>97.90000000000003</v>
      </c>
      <c r="I140" s="94">
        <f t="shared" si="16"/>
        <v>139.40000000000003</v>
      </c>
      <c r="K140" s="154"/>
      <c r="L140" s="91"/>
    </row>
    <row r="141" spans="1:12" s="102" customFormat="1" ht="17.2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</f>
        <v>1493.5</v>
      </c>
      <c r="E141" s="101">
        <f>D141/D107*100</f>
        <v>0.34906840689012186</v>
      </c>
      <c r="F141" s="89">
        <f t="shared" si="17"/>
        <v>91.39587540542193</v>
      </c>
      <c r="G141" s="89">
        <f t="shared" si="14"/>
        <v>84.85795454545455</v>
      </c>
      <c r="H141" s="90">
        <f t="shared" si="18"/>
        <v>140.60000000000014</v>
      </c>
      <c r="I141" s="90">
        <f t="shared" si="16"/>
        <v>266.5</v>
      </c>
      <c r="J141" s="145"/>
      <c r="K141" s="154"/>
      <c r="L141" s="91"/>
    </row>
    <row r="142" spans="1:12" s="103" customFormat="1" ht="17.2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</f>
        <v>1225.8999999999999</v>
      </c>
      <c r="E142" s="96">
        <f>D142/D141*100</f>
        <v>82.08235687981251</v>
      </c>
      <c r="F142" s="96">
        <f aca="true" t="shared" si="19" ref="F142:F151">D142/B142*100</f>
        <v>92.29089814048031</v>
      </c>
      <c r="G142" s="96">
        <f t="shared" si="14"/>
        <v>85.285932934465</v>
      </c>
      <c r="H142" s="94">
        <f t="shared" si="18"/>
        <v>102.40000000000009</v>
      </c>
      <c r="I142" s="94">
        <f t="shared" si="16"/>
        <v>211.50000000000023</v>
      </c>
      <c r="J142" s="146"/>
      <c r="K142" s="154"/>
      <c r="L142" s="91">
        <f>B108+B111+B114+B117+B119+B126+B127+B128+B130+B136+B71+B132+B137+B121+B113+B139+B70</f>
        <v>12226.259</v>
      </c>
    </row>
    <row r="143" spans="1:13" s="103" customFormat="1" ht="17.2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</f>
        <v>20.799999999999997</v>
      </c>
      <c r="E143" s="96">
        <f>D143/D141*100</f>
        <v>1.3927017073987276</v>
      </c>
      <c r="F143" s="96">
        <f t="shared" si="19"/>
        <v>59.259259259259245</v>
      </c>
      <c r="G143" s="96">
        <f>D143/C143*100</f>
        <v>51.99999999999999</v>
      </c>
      <c r="H143" s="94">
        <f t="shared" si="18"/>
        <v>14.300000000000004</v>
      </c>
      <c r="I143" s="94">
        <f t="shared" si="16"/>
        <v>19.200000000000003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</f>
        <v>624.5</v>
      </c>
      <c r="D144" s="99">
        <f>7.5+527</f>
        <v>534.5</v>
      </c>
      <c r="E144" s="101">
        <f>D144/D107*100</f>
        <v>0.12492605522783405</v>
      </c>
      <c r="F144" s="89">
        <f t="shared" si="19"/>
        <v>85.58847077662129</v>
      </c>
      <c r="G144" s="89">
        <f t="shared" si="14"/>
        <v>85.58847077662129</v>
      </c>
      <c r="H144" s="90">
        <f t="shared" si="18"/>
        <v>90</v>
      </c>
      <c r="I144" s="90">
        <f t="shared" si="16"/>
        <v>90</v>
      </c>
      <c r="J144" s="145"/>
      <c r="K144" s="154"/>
      <c r="L144" s="91"/>
    </row>
    <row r="145" spans="1:12" s="102" customFormat="1" ht="17.2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7.25">
      <c r="A146" s="105" t="s">
        <v>97</v>
      </c>
      <c r="B146" s="143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</f>
        <v>68087.90000000001</v>
      </c>
      <c r="E146" s="101">
        <f>D146/D107*100</f>
        <v>15.913849870434504</v>
      </c>
      <c r="F146" s="89">
        <f t="shared" si="19"/>
        <v>81.19340940556101</v>
      </c>
      <c r="G146" s="89">
        <f t="shared" si="14"/>
        <v>55.85155120184203</v>
      </c>
      <c r="H146" s="90">
        <f t="shared" si="18"/>
        <v>15771</v>
      </c>
      <c r="I146" s="90">
        <f t="shared" si="16"/>
        <v>53820.8</v>
      </c>
      <c r="J146" s="145"/>
      <c r="K146" s="154"/>
      <c r="L146" s="91"/>
    </row>
    <row r="147" spans="1:12" s="102" customFormat="1" ht="17.2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4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7.25">
      <c r="A149" s="97" t="s">
        <v>98</v>
      </c>
      <c r="B149" s="143">
        <v>128.19706</v>
      </c>
      <c r="C149" s="98">
        <v>162.3</v>
      </c>
      <c r="D149" s="99">
        <f>46.4+43+38.8</f>
        <v>128.2</v>
      </c>
      <c r="E149" s="101">
        <f>D149/D107*100</f>
        <v>0.029963555248284982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10277.3-1020+342.4+1993.7</f>
        <v>11593.4</v>
      </c>
      <c r="C150" s="98">
        <v>11593.4</v>
      </c>
      <c r="D150" s="99">
        <f>791.9+575.3+777.6+830.9+722.1+47.7+657.7+821-47.6+744.9+750.8+1599.5+613.3+67.8</f>
        <v>8952.899999999998</v>
      </c>
      <c r="E150" s="101">
        <f>D150/D107*100</f>
        <v>2.0925172681932183</v>
      </c>
      <c r="F150" s="89">
        <f t="shared" si="19"/>
        <v>77.22411026963616</v>
      </c>
      <c r="G150" s="89">
        <f t="shared" si="14"/>
        <v>77.22411026963616</v>
      </c>
      <c r="H150" s="90">
        <f t="shared" si="18"/>
        <v>2640.500000000002</v>
      </c>
      <c r="I150" s="90">
        <f t="shared" si="16"/>
        <v>2640.500000000002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</f>
        <v>317339.70000000007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+554.9+1996.3</f>
        <v>259986.90000000008</v>
      </c>
      <c r="E151" s="101">
        <f>D151/D107*100</f>
        <v>60.765458985806134</v>
      </c>
      <c r="F151" s="89">
        <f t="shared" si="19"/>
        <v>81.92700125449164</v>
      </c>
      <c r="G151" s="89">
        <f t="shared" si="14"/>
        <v>80.58863041710748</v>
      </c>
      <c r="H151" s="90">
        <f t="shared" si="18"/>
        <v>57352.79999999999</v>
      </c>
      <c r="I151" s="90">
        <f>C151-D151</f>
        <v>62622.99999999994</v>
      </c>
      <c r="K151" s="154"/>
      <c r="L151" s="91"/>
    </row>
    <row r="152" spans="1:12" s="102" customFormat="1" ht="17.2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</f>
        <v>35193.39999999998</v>
      </c>
      <c r="E152" s="101">
        <f>D152/D107*100</f>
        <v>8.225580228354074</v>
      </c>
      <c r="F152" s="89">
        <f t="shared" si="17"/>
        <v>90.90918484115026</v>
      </c>
      <c r="G152" s="89">
        <f t="shared" si="14"/>
        <v>83.3334911915135</v>
      </c>
      <c r="H152" s="90">
        <f t="shared" si="18"/>
        <v>3519.3000000000247</v>
      </c>
      <c r="I152" s="90">
        <f t="shared" si="16"/>
        <v>7038.60000000002</v>
      </c>
      <c r="K152" s="154"/>
      <c r="L152" s="91"/>
    </row>
    <row r="153" spans="1:12" s="2" customFormat="1" ht="18" thickBot="1">
      <c r="A153" s="26" t="s">
        <v>29</v>
      </c>
      <c r="B153" s="144"/>
      <c r="C153" s="60"/>
      <c r="D153" s="41">
        <f>D43+D69+D72+D77+D79+D87+D102+D107+D100+D84+D98</f>
        <v>438446.19999999995</v>
      </c>
      <c r="E153" s="14"/>
      <c r="F153" s="14"/>
      <c r="G153" s="6"/>
      <c r="H153" s="49"/>
      <c r="I153" s="41"/>
      <c r="K153" s="154"/>
      <c r="L153" s="30"/>
    </row>
    <row r="154" spans="1:12" ht="18" thickBot="1">
      <c r="A154" s="11" t="s">
        <v>18</v>
      </c>
      <c r="B154" s="37">
        <f>B6+B18+B33+B43+B51+B59+B69+B72+B77+B79+B87+B90+B95+B102+B107+B100+B84+B98+B45</f>
        <v>1958089.65506</v>
      </c>
      <c r="C154" s="37">
        <f>C6+C18+C33+C43+C51+C59+C69+C72+C77+C79+C87+C90+C95+C102+C107+C100+C84+C98+C45</f>
        <v>2206819.5999999996</v>
      </c>
      <c r="D154" s="37">
        <f>D6+D18+D33+D43+D51+D59+D69+D72+D77+D79+D87+D90+D95+D102+D107+D100+D84+D98+D45</f>
        <v>1675849.7</v>
      </c>
      <c r="E154" s="25">
        <v>100</v>
      </c>
      <c r="F154" s="3">
        <f>D154/B154*100</f>
        <v>85.58595341481687</v>
      </c>
      <c r="G154" s="3">
        <f aca="true" t="shared" si="20" ref="G154:G160">D154/C154*100</f>
        <v>75.9395874497399</v>
      </c>
      <c r="H154" s="37">
        <f aca="true" t="shared" si="21" ref="H154:H160">B154-D154</f>
        <v>282239.95506000007</v>
      </c>
      <c r="I154" s="37">
        <f aca="true" t="shared" si="22" ref="I154:I160">C154-D154</f>
        <v>530969.8999999997</v>
      </c>
      <c r="K154" s="136">
        <f>D154-751574.4-254427.6-132352.6+0.9-133656.1-0.2-161669.9</f>
        <v>242169.80000000002</v>
      </c>
      <c r="L154" s="158"/>
    </row>
    <row r="155" spans="1:12" ht="17.25">
      <c r="A155" s="15" t="s">
        <v>5</v>
      </c>
      <c r="B155" s="48">
        <f>B8+B20+B34+B52+B60+B91+B115+B120+B46+B142+B133+B103</f>
        <v>801285.2000000002</v>
      </c>
      <c r="C155" s="48">
        <f>C8+C20+C34+C52+C60+C91+C115+C120+C46+C142+C133+C103</f>
        <v>897180</v>
      </c>
      <c r="D155" s="48">
        <f>D8+D20+D34+D52+D60+D91+D115+D120+D46+D142+D133+D103</f>
        <v>736201.7100000002</v>
      </c>
      <c r="E155" s="6">
        <f>D155/D154*100</f>
        <v>43.93005589940436</v>
      </c>
      <c r="F155" s="6">
        <f aca="true" t="shared" si="23" ref="F155:F160">D155/B155*100</f>
        <v>91.87761236573445</v>
      </c>
      <c r="G155" s="6">
        <f t="shared" si="20"/>
        <v>82.05730288236477</v>
      </c>
      <c r="H155" s="49">
        <f t="shared" si="21"/>
        <v>65083.48999999999</v>
      </c>
      <c r="I155" s="59">
        <f t="shared" si="22"/>
        <v>160978.2899999998</v>
      </c>
      <c r="K155" s="154"/>
      <c r="L155" s="158"/>
    </row>
    <row r="156" spans="1:12" ht="17.25">
      <c r="A156" s="15" t="s">
        <v>0</v>
      </c>
      <c r="B156" s="49">
        <f>B11+B23+B36+B55+B62+B92+B49+B143+B109+B112+B96+B140+B129</f>
        <v>93344.20000000003</v>
      </c>
      <c r="C156" s="49">
        <f>C11+C23+C36+C55+C62+C92+C49+C143+C109+C112+C96+C140+C129</f>
        <v>110563.99999999999</v>
      </c>
      <c r="D156" s="49">
        <f>D11+D23+D36+D55+D62+D92+D49+D143+D109+D112+D96+D140+D129</f>
        <v>71873.8</v>
      </c>
      <c r="E156" s="6">
        <f>D156/D154*100</f>
        <v>4.288797497770832</v>
      </c>
      <c r="F156" s="6">
        <f t="shared" si="23"/>
        <v>76.99867801106012</v>
      </c>
      <c r="G156" s="6">
        <f t="shared" si="20"/>
        <v>65.00651206541009</v>
      </c>
      <c r="H156" s="49">
        <f>B156-D156</f>
        <v>21470.400000000023</v>
      </c>
      <c r="I156" s="59">
        <f t="shared" si="22"/>
        <v>38690.19999999998</v>
      </c>
      <c r="K156" s="154"/>
      <c r="L156" s="159"/>
    </row>
    <row r="157" spans="1:12" ht="17.2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29221.499999999996</v>
      </c>
      <c r="E157" s="6">
        <f>D157/D154*100</f>
        <v>1.7436826226122784</v>
      </c>
      <c r="F157" s="6">
        <f t="shared" si="23"/>
        <v>77.3616325061023</v>
      </c>
      <c r="G157" s="6">
        <f t="shared" si="20"/>
        <v>69.38748857254798</v>
      </c>
      <c r="H157" s="49">
        <f t="shared" si="21"/>
        <v>8551.100000000002</v>
      </c>
      <c r="I157" s="59">
        <f t="shared" si="22"/>
        <v>12892.000000000004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28245.2</v>
      </c>
      <c r="C158" s="48">
        <f>C12+C24+C104+C63+C38+C93+C131+C56+C138+C118</f>
        <v>30298.8</v>
      </c>
      <c r="D158" s="48">
        <f>D12+D24+D104+D63+D38+D93+D131+D56+D138+D118</f>
        <v>23165.199999999997</v>
      </c>
      <c r="E158" s="6">
        <f>D158/D154*100</f>
        <v>1.3822957989609688</v>
      </c>
      <c r="F158" s="6">
        <f t="shared" si="23"/>
        <v>82.01464319601205</v>
      </c>
      <c r="G158" s="6">
        <f t="shared" si="20"/>
        <v>76.4558332343195</v>
      </c>
      <c r="H158" s="49">
        <f>B158-D158</f>
        <v>5080.000000000004</v>
      </c>
      <c r="I158" s="59">
        <f t="shared" si="22"/>
        <v>7133.600000000002</v>
      </c>
      <c r="K158" s="154"/>
      <c r="L158" s="159"/>
    </row>
    <row r="159" spans="1:12" ht="17.2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46.10000000000001</v>
      </c>
      <c r="E159" s="6">
        <f>D159/D154*100</f>
        <v>0.0027508433483026556</v>
      </c>
      <c r="F159" s="6">
        <f t="shared" si="23"/>
        <v>40.26200873362446</v>
      </c>
      <c r="G159" s="6">
        <f t="shared" si="20"/>
        <v>40.2675125464747</v>
      </c>
      <c r="H159" s="49">
        <f t="shared" si="21"/>
        <v>68.39999999999999</v>
      </c>
      <c r="I159" s="59">
        <f t="shared" si="22"/>
        <v>68.38435</v>
      </c>
      <c r="K159" s="154"/>
      <c r="L159" s="158"/>
    </row>
    <row r="160" spans="1:12" ht="18" thickBot="1">
      <c r="A160" s="81" t="s">
        <v>27</v>
      </c>
      <c r="B160" s="61">
        <f>B154-B155-B156-B157-B158-B159</f>
        <v>997327.95506</v>
      </c>
      <c r="C160" s="61">
        <f>C154-C155-C156-C157-C158-C159</f>
        <v>1126548.8156499995</v>
      </c>
      <c r="D160" s="61">
        <f>D154-D155-D156-D157-D158-D159</f>
        <v>815341.3899999998</v>
      </c>
      <c r="E160" s="28">
        <f>D160/D154*100</f>
        <v>48.652417337903266</v>
      </c>
      <c r="F160" s="28">
        <f t="shared" si="23"/>
        <v>81.75258558263798</v>
      </c>
      <c r="G160" s="28">
        <f t="shared" si="20"/>
        <v>72.3751495428595</v>
      </c>
      <c r="H160" s="82">
        <f t="shared" si="21"/>
        <v>181986.56506000017</v>
      </c>
      <c r="I160" s="82">
        <f t="shared" si="22"/>
        <v>311207.42564999976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1675849.7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1675849.7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2018-11-02T12:40:12Z</cp:lastPrinted>
  <dcterms:created xsi:type="dcterms:W3CDTF">2000-06-20T04:48:00Z</dcterms:created>
  <dcterms:modified xsi:type="dcterms:W3CDTF">2018-11-06T14:07:34Z</dcterms:modified>
  <cp:category/>
  <cp:version/>
  <cp:contentType/>
  <cp:contentStatus/>
</cp:coreProperties>
</file>